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0E703E72-092B-4AFA-86A5-B237A43B016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4" i="3" l="1"/>
  <c r="V35" i="3"/>
  <c r="V38" i="3"/>
  <c r="V32" i="3"/>
  <c r="V37" i="3" l="1"/>
  <c r="V31" i="3"/>
  <c r="V30" i="3"/>
  <c r="V29" i="3"/>
  <c r="V28" i="3"/>
  <c r="G20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s="1"/>
  <c r="S24" i="3" l="1"/>
  <c r="Y24" i="3"/>
  <c r="M24" i="3"/>
  <c r="Y54" i="3"/>
  <c r="Y53" i="3"/>
  <c r="Y52" i="3"/>
  <c r="Y51" i="3"/>
  <c r="Y50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R40" i="3" s="1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O16" i="3" s="1"/>
  <c r="AB16" i="3" s="1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15" i="3" l="1"/>
  <c r="O21" i="3"/>
  <c r="AB21" i="3" s="1"/>
  <c r="O17" i="3"/>
  <c r="AB17" i="3" s="1"/>
  <c r="O23" i="3"/>
  <c r="AB23" i="3" s="1"/>
  <c r="O20" i="3"/>
  <c r="AB20" i="3" s="1"/>
  <c r="O22" i="3"/>
  <c r="AB22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<sst xmlns="http://schemas.openxmlformats.org/spreadsheetml/2006/main" count="210" uniqueCount="121">
  <si>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</si>
  <si>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</si>
  <si>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</si>
  <si>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</si>
  <si>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</si>
  <si>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</si>
  <si>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</si>
  <si>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</si>
  <si>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</si>
  <si>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</si>
  <si>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</si>
  <si>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</si>
  <si>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</si>
  <si>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</si>
  <si>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</si>
  <si>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</si>
  <si>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</si>
  <si>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</si>
  <si>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</si>
  <si>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</si>
  <si>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</si>
  <si>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</si>
  <si>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</si>
  <si>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</si>
  <si>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</si>
  <si>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</si>
  <si>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</si>
  <si>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</si>
  <si>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</si>
  <si>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</si>
  <si>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</si>
  <si>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</si>
  <si>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</si>
  <si>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</si>
  <si>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</si>
  <si>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</si>
  <si>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</si>
  <si>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</si>
  <si>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</si>
  <si>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</si>
  <si>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</si>
  <si>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</si>
  <si>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</si>
  <si>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</si>
  <si>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</si>
  <si>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</si>
  <si>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</si>
  <si>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</si>
  <si>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</si>
  <si>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</si>
  <si>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</si>
  <si>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</si>
  <si>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</si>
  <si>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</si>
  <si>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</si>
  <si>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</si>
  <si>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</si>
  <si>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</si>
  <si>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</si>
  <si>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</si>
  <si>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</si>
  <si>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</si>
  <si>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</si>
  <si>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</si>
  <si>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</si>
  <si>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</si>
  <si>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</si>
  <si>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</si>
  <si>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</si>
  <si>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</si>
  <si>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</si>
  <si>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</si>
  <si>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</si>
  <si>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</si>
  <si>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</si>
  <si>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</si>
  <si>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</si>
  <si>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</si>
  <si>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</si>
  <si>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</si>
  <si>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</si>
  <si>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</si>
  <si>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</si>
  <si>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</si>
  <si>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</si>
  <si>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</si>
  <si>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</si>
  <si>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</si>
  <si>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</si>
  <si>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</si>
  <si>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</si>
  <si>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</si>
  <si>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</si>
  <si>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</si>
  <si>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</si>
  <si>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</si>
  <si>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</si>
  <si>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</si>
  <si>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</si>
  <si>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</si>
  <si>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</si>
  <si>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</si>
  <si>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</si>
  <si>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</si>
  <si>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</si>
  <si>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</si>
  <si>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Sociální služby Chomutov, přískpěvková organizace</t>
  </si>
  <si>
    <t>Písečná 5030, 430 04 Chomutov</t>
  </si>
  <si>
    <t>Mgr. Alena Tölgová, ředitelka</t>
  </si>
  <si>
    <t>Ing. Ivana Vomáčková</t>
  </si>
  <si>
    <t>Skutečnost k 30. 6.</t>
  </si>
  <si>
    <t>Na základě avizovaného zvýšení platů ve státní sféře, je upraven rozpočet pro rok 2022:</t>
  </si>
  <si>
    <t xml:space="preserve">zvýšení nákladů o 4 563 tis. Kč </t>
  </si>
  <si>
    <t>z toho: 3 360 tis. Kč HM (úč. 521)</t>
  </si>
  <si>
    <t>1 136 tis. Kč související odvody (úč. 524)</t>
  </si>
  <si>
    <t xml:space="preserve">67 tis. Kč odvody FKSP </t>
  </si>
  <si>
    <t>zvýšení příjmů o 4 563 tis. Kč</t>
  </si>
  <si>
    <t>z toho: 803 tis. Kč příspěvek zřizovatete</t>
  </si>
  <si>
    <t>3 760 tis. Kč dotační titul na podporu sociálních služeb (VDP)</t>
  </si>
  <si>
    <t>LMP pro rok 2022 je stanoven ve výši 73 245 tis. Kč</t>
  </si>
  <si>
    <t>Žádost pro rok 2022 v rámci programu na podporu sociálních služeb bude podána cca v listopadu 2021. Bude žádáno o maximální podporu, ale výsledky dotačního programu budou známy až na začátku roku 2022. Dotace je nenároková.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</si>
</sst>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8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Normal="100" zoomScaleSheetLayoutView="80" workbookViewId="0">
      <pane xSplit="3" topLeftCell="P1" activePane="topRight" state="frozen"/>
      <selection pane="topRight" activeCell="AA32" sqref="AA3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2.2851562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3" t="s">
        <v>106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46789944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4" t="s">
        <v>107</v>
      </c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5" t="s">
        <v>37</v>
      </c>
      <c r="C10" s="208" t="s">
        <v>38</v>
      </c>
      <c r="D10" s="187" t="s">
        <v>101</v>
      </c>
      <c r="E10" s="188"/>
      <c r="F10" s="188"/>
      <c r="G10" s="188"/>
      <c r="H10" s="188"/>
      <c r="I10" s="189"/>
      <c r="J10" s="187" t="s">
        <v>102</v>
      </c>
      <c r="K10" s="188"/>
      <c r="L10" s="188"/>
      <c r="M10" s="188"/>
      <c r="N10" s="188"/>
      <c r="O10" s="189"/>
      <c r="P10" s="187" t="s">
        <v>103</v>
      </c>
      <c r="Q10" s="188"/>
      <c r="R10" s="188"/>
      <c r="S10" s="188"/>
      <c r="T10" s="188"/>
      <c r="U10" s="189"/>
      <c r="V10" s="187" t="s">
        <v>104</v>
      </c>
      <c r="W10" s="188"/>
      <c r="X10" s="188"/>
      <c r="Y10" s="188"/>
      <c r="Z10" s="188"/>
      <c r="AA10" s="189"/>
      <c r="AB10" s="170" t="s">
        <v>105</v>
      </c>
      <c r="AC10" s="4"/>
      <c r="AD10" s="4"/>
    </row>
    <row r="11" spans="1:30" ht="30.75" customHeight="1" thickBot="1" x14ac:dyDescent="0.3">
      <c r="A11" s="5"/>
      <c r="B11" s="216"/>
      <c r="C11" s="209"/>
      <c r="D11" s="173" t="s">
        <v>39</v>
      </c>
      <c r="E11" s="174"/>
      <c r="F11" s="174"/>
      <c r="G11" s="175"/>
      <c r="H11" s="9" t="s">
        <v>40</v>
      </c>
      <c r="I11" s="9" t="s">
        <v>61</v>
      </c>
      <c r="J11" s="173" t="s">
        <v>39</v>
      </c>
      <c r="K11" s="174"/>
      <c r="L11" s="174"/>
      <c r="M11" s="175"/>
      <c r="N11" s="9" t="s">
        <v>40</v>
      </c>
      <c r="O11" s="9" t="s">
        <v>61</v>
      </c>
      <c r="P11" s="173" t="s">
        <v>39</v>
      </c>
      <c r="Q11" s="174"/>
      <c r="R11" s="174"/>
      <c r="S11" s="175"/>
      <c r="T11" s="9" t="s">
        <v>40</v>
      </c>
      <c r="U11" s="9" t="s">
        <v>61</v>
      </c>
      <c r="V11" s="173" t="s">
        <v>39</v>
      </c>
      <c r="W11" s="174"/>
      <c r="X11" s="174"/>
      <c r="Y11" s="175"/>
      <c r="Z11" s="9" t="s">
        <v>40</v>
      </c>
      <c r="AA11" s="9" t="s">
        <v>61</v>
      </c>
      <c r="AB11" s="171"/>
      <c r="AC11" s="4"/>
      <c r="AD11" s="4"/>
    </row>
    <row r="12" spans="1:30" ht="15.75" customHeight="1" thickBot="1" x14ac:dyDescent="0.3">
      <c r="A12" s="5"/>
      <c r="B12" s="216"/>
      <c r="C12" s="210"/>
      <c r="D12" s="176" t="s">
        <v>62</v>
      </c>
      <c r="E12" s="177"/>
      <c r="F12" s="177"/>
      <c r="G12" s="177"/>
      <c r="H12" s="177"/>
      <c r="I12" s="178"/>
      <c r="J12" s="176" t="s">
        <v>62</v>
      </c>
      <c r="K12" s="177"/>
      <c r="L12" s="177"/>
      <c r="M12" s="177"/>
      <c r="N12" s="177"/>
      <c r="O12" s="178"/>
      <c r="P12" s="176" t="s">
        <v>62</v>
      </c>
      <c r="Q12" s="177"/>
      <c r="R12" s="177"/>
      <c r="S12" s="177"/>
      <c r="T12" s="177"/>
      <c r="U12" s="178"/>
      <c r="V12" s="176" t="s">
        <v>62</v>
      </c>
      <c r="W12" s="177"/>
      <c r="X12" s="177"/>
      <c r="Y12" s="177"/>
      <c r="Z12" s="177"/>
      <c r="AA12" s="178"/>
      <c r="AB12" s="171"/>
      <c r="AC12" s="4"/>
      <c r="AD12" s="4"/>
    </row>
    <row r="13" spans="1:30" ht="15.75" customHeight="1" thickBot="1" x14ac:dyDescent="0.3">
      <c r="A13" s="5"/>
      <c r="B13" s="217"/>
      <c r="C13" s="211"/>
      <c r="D13" s="179" t="s">
        <v>57</v>
      </c>
      <c r="E13" s="180"/>
      <c r="F13" s="180"/>
      <c r="G13" s="194" t="s">
        <v>63</v>
      </c>
      <c r="H13" s="196" t="s">
        <v>66</v>
      </c>
      <c r="I13" s="181" t="s">
        <v>62</v>
      </c>
      <c r="J13" s="179" t="s">
        <v>57</v>
      </c>
      <c r="K13" s="180"/>
      <c r="L13" s="180"/>
      <c r="M13" s="194" t="s">
        <v>63</v>
      </c>
      <c r="N13" s="196" t="s">
        <v>66</v>
      </c>
      <c r="O13" s="181" t="s">
        <v>62</v>
      </c>
      <c r="P13" s="179" t="s">
        <v>57</v>
      </c>
      <c r="Q13" s="180"/>
      <c r="R13" s="180"/>
      <c r="S13" s="194" t="s">
        <v>63</v>
      </c>
      <c r="T13" s="196" t="s">
        <v>66</v>
      </c>
      <c r="U13" s="181" t="s">
        <v>62</v>
      </c>
      <c r="V13" s="179" t="s">
        <v>57</v>
      </c>
      <c r="W13" s="180"/>
      <c r="X13" s="180"/>
      <c r="Y13" s="194" t="s">
        <v>63</v>
      </c>
      <c r="Z13" s="196" t="s">
        <v>66</v>
      </c>
      <c r="AA13" s="181" t="s">
        <v>62</v>
      </c>
      <c r="AB13" s="171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91</v>
      </c>
      <c r="F14" s="143" t="s">
        <v>59</v>
      </c>
      <c r="G14" s="195"/>
      <c r="H14" s="197"/>
      <c r="I14" s="182"/>
      <c r="J14" s="142" t="s">
        <v>58</v>
      </c>
      <c r="K14" s="143" t="s">
        <v>91</v>
      </c>
      <c r="L14" s="143" t="s">
        <v>59</v>
      </c>
      <c r="M14" s="195"/>
      <c r="N14" s="197"/>
      <c r="O14" s="182"/>
      <c r="P14" s="142" t="s">
        <v>58</v>
      </c>
      <c r="Q14" s="143" t="s">
        <v>91</v>
      </c>
      <c r="R14" s="143" t="s">
        <v>59</v>
      </c>
      <c r="S14" s="195"/>
      <c r="T14" s="197"/>
      <c r="U14" s="182"/>
      <c r="V14" s="142" t="s">
        <v>58</v>
      </c>
      <c r="W14" s="143" t="s">
        <v>91</v>
      </c>
      <c r="X14" s="143" t="s">
        <v>59</v>
      </c>
      <c r="Y14" s="195"/>
      <c r="Z14" s="197"/>
      <c r="AA14" s="182"/>
      <c r="AB14" s="172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53099.8</v>
      </c>
      <c r="G15" s="63">
        <f>SUM(D15:F15)</f>
        <v>53099.8</v>
      </c>
      <c r="H15" s="66">
        <v>0</v>
      </c>
      <c r="I15" s="14">
        <f>G15+H15</f>
        <v>53099.8</v>
      </c>
      <c r="J15" s="12"/>
      <c r="K15" s="13"/>
      <c r="L15" s="56">
        <v>56966.32</v>
      </c>
      <c r="M15" s="63">
        <f t="shared" ref="M15:M23" si="0">SUM(J15:L15)</f>
        <v>56966.32</v>
      </c>
      <c r="N15" s="66">
        <v>0</v>
      </c>
      <c r="O15" s="14">
        <f>M15+N15</f>
        <v>56966.32</v>
      </c>
      <c r="P15" s="12"/>
      <c r="Q15" s="13"/>
      <c r="R15" s="56">
        <v>29404.65</v>
      </c>
      <c r="S15" s="63">
        <f>SUM(P15:R15)</f>
        <v>29404.65</v>
      </c>
      <c r="T15" s="66">
        <v>18.8</v>
      </c>
      <c r="U15" s="14">
        <f>S15+T15</f>
        <v>29423.45</v>
      </c>
      <c r="V15" s="12"/>
      <c r="W15" s="13"/>
      <c r="X15" s="56">
        <v>55730</v>
      </c>
      <c r="Y15" s="63">
        <f>SUM(V15:X15)</f>
        <v>55730</v>
      </c>
      <c r="Z15" s="66">
        <v>0</v>
      </c>
      <c r="AA15" s="14">
        <f>Y15+Z15</f>
        <v>55730</v>
      </c>
      <c r="AB15" s="148">
        <f>(AA15/O15)</f>
        <v>0.97829735183877076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25850.9</v>
      </c>
      <c r="E16" s="16"/>
      <c r="F16" s="16"/>
      <c r="G16" s="64">
        <f t="shared" ref="G16:G23" si="1">SUM(D16:F16)</f>
        <v>25850.9</v>
      </c>
      <c r="H16" s="67"/>
      <c r="I16" s="14">
        <f t="shared" ref="I16:I23" si="2">G16+H16</f>
        <v>25850.9</v>
      </c>
      <c r="J16" s="57">
        <v>26882</v>
      </c>
      <c r="K16" s="16"/>
      <c r="L16" s="16"/>
      <c r="M16" s="64">
        <f t="shared" si="0"/>
        <v>26882</v>
      </c>
      <c r="N16" s="67"/>
      <c r="O16" s="14">
        <f t="shared" ref="O16:O20" si="3">M16+N16</f>
        <v>26882</v>
      </c>
      <c r="P16" s="57">
        <v>19050</v>
      </c>
      <c r="Q16" s="16"/>
      <c r="R16" s="16"/>
      <c r="S16" s="64">
        <f t="shared" ref="S16:S23" si="4">SUM(P16:R16)</f>
        <v>19050</v>
      </c>
      <c r="T16" s="67"/>
      <c r="U16" s="14">
        <f t="shared" ref="U16:U20" si="5">S16+T16</f>
        <v>19050</v>
      </c>
      <c r="V16" s="57">
        <v>23303</v>
      </c>
      <c r="W16" s="16"/>
      <c r="X16" s="16"/>
      <c r="Y16" s="64">
        <f t="shared" ref="Y16:Y23" si="6">SUM(V16:X16)</f>
        <v>23303</v>
      </c>
      <c r="Z16" s="67"/>
      <c r="AA16" s="14">
        <f t="shared" ref="AA16:AA20" si="7">Y16+Z16</f>
        <v>23303</v>
      </c>
      <c r="AB16" s="148">
        <f t="shared" ref="AB16:AB24" si="8">(AA16/O16)</f>
        <v>0.8668625846291198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/>
      <c r="E17" s="17"/>
      <c r="F17" s="17"/>
      <c r="G17" s="64">
        <f t="shared" si="1"/>
        <v>0</v>
      </c>
      <c r="H17" s="68"/>
      <c r="I17" s="14">
        <f t="shared" si="2"/>
        <v>0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8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51290.2</v>
      </c>
      <c r="F18" s="17"/>
      <c r="G18" s="64">
        <f t="shared" si="1"/>
        <v>51290.2</v>
      </c>
      <c r="H18" s="66"/>
      <c r="I18" s="14">
        <f t="shared" si="2"/>
        <v>51290.2</v>
      </c>
      <c r="J18" s="18"/>
      <c r="K18" s="59">
        <v>54518.68</v>
      </c>
      <c r="L18" s="17"/>
      <c r="M18" s="64">
        <f t="shared" si="0"/>
        <v>54518.68</v>
      </c>
      <c r="N18" s="66"/>
      <c r="O18" s="14">
        <f t="shared" si="3"/>
        <v>54518.68</v>
      </c>
      <c r="P18" s="18"/>
      <c r="Q18" s="59">
        <v>37025.9</v>
      </c>
      <c r="R18" s="17"/>
      <c r="S18" s="64">
        <f t="shared" si="4"/>
        <v>37025.9</v>
      </c>
      <c r="T18" s="66"/>
      <c r="U18" s="14">
        <f t="shared" si="5"/>
        <v>37025.9</v>
      </c>
      <c r="V18" s="18"/>
      <c r="W18" s="59">
        <v>56252</v>
      </c>
      <c r="X18" s="17"/>
      <c r="Y18" s="64">
        <f t="shared" si="6"/>
        <v>56252</v>
      </c>
      <c r="Z18" s="66"/>
      <c r="AA18" s="14">
        <f t="shared" si="7"/>
        <v>56252</v>
      </c>
      <c r="AB18" s="148">
        <f t="shared" si="8"/>
        <v>1.0317931395257551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/>
      <c r="S19" s="64">
        <f t="shared" si="4"/>
        <v>0</v>
      </c>
      <c r="T19" s="69"/>
      <c r="U19" s="14">
        <f t="shared" si="5"/>
        <v>0</v>
      </c>
      <c r="V19" s="19"/>
      <c r="W19" s="17"/>
      <c r="X19" s="60"/>
      <c r="Y19" s="64">
        <f t="shared" si="6"/>
        <v>0</v>
      </c>
      <c r="Z19" s="69"/>
      <c r="AA19" s="14">
        <f t="shared" si="7"/>
        <v>0</v>
      </c>
      <c r="AB19" s="148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64.8</v>
      </c>
      <c r="G20" s="64">
        <f t="shared" si="1"/>
        <v>64.8</v>
      </c>
      <c r="H20" s="64"/>
      <c r="I20" s="14">
        <f t="shared" si="2"/>
        <v>64.8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/>
      <c r="Q20" s="16"/>
      <c r="R20" s="61">
        <v>3.62</v>
      </c>
      <c r="S20" s="64">
        <f t="shared" si="4"/>
        <v>3.62</v>
      </c>
      <c r="T20" s="69"/>
      <c r="U20" s="14">
        <f t="shared" si="5"/>
        <v>3.62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8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1799.6</v>
      </c>
      <c r="G21" s="64">
        <f t="shared" si="1"/>
        <v>1799.6</v>
      </c>
      <c r="H21" s="70">
        <v>13.3</v>
      </c>
      <c r="I21" s="14">
        <f>G21+H21</f>
        <v>1812.8999999999999</v>
      </c>
      <c r="J21" s="18"/>
      <c r="K21" s="16"/>
      <c r="L21" s="61">
        <v>872</v>
      </c>
      <c r="M21" s="64">
        <f t="shared" si="0"/>
        <v>872</v>
      </c>
      <c r="N21" s="70"/>
      <c r="O21" s="14">
        <f>M21+N21</f>
        <v>872</v>
      </c>
      <c r="P21" s="18"/>
      <c r="Q21" s="16"/>
      <c r="R21" s="61">
        <v>1166.06</v>
      </c>
      <c r="S21" s="64">
        <f t="shared" si="4"/>
        <v>1166.06</v>
      </c>
      <c r="T21" s="70">
        <v>5.7</v>
      </c>
      <c r="U21" s="14">
        <f>S21+T21</f>
        <v>1171.76</v>
      </c>
      <c r="V21" s="18"/>
      <c r="W21" s="16"/>
      <c r="X21" s="61">
        <v>384</v>
      </c>
      <c r="Y21" s="64">
        <f t="shared" si="6"/>
        <v>384</v>
      </c>
      <c r="Z21" s="70"/>
      <c r="AA21" s="14">
        <f>Y21+Z21</f>
        <v>384</v>
      </c>
      <c r="AB21" s="148">
        <f t="shared" si="8"/>
        <v>0.44036697247706424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10</v>
      </c>
      <c r="I22" s="14">
        <f t="shared" si="2"/>
        <v>10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/>
      <c r="S22" s="64">
        <f t="shared" si="4"/>
        <v>0</v>
      </c>
      <c r="T22" s="70">
        <v>5</v>
      </c>
      <c r="U22" s="14">
        <f t="shared" ref="U22:U23" si="10">S22+T22</f>
        <v>5</v>
      </c>
      <c r="V22" s="18"/>
      <c r="W22" s="16"/>
      <c r="X22" s="61"/>
      <c r="Y22" s="64">
        <f t="shared" si="6"/>
        <v>0</v>
      </c>
      <c r="Z22" s="70"/>
      <c r="AA22" s="14">
        <f t="shared" ref="AA22:AA23" si="11">Y22+Z22</f>
        <v>0</v>
      </c>
      <c r="AB22" s="148" t="e">
        <f t="shared" si="8"/>
        <v>#DIV/0!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25850.9</v>
      </c>
      <c r="E24" s="27">
        <f>SUM(E15:E21)</f>
        <v>51290.2</v>
      </c>
      <c r="F24" s="27">
        <f>SUM(F15:F21)</f>
        <v>54964.200000000004</v>
      </c>
      <c r="G24" s="28">
        <f>SUM(D24:F24)</f>
        <v>132105.30000000002</v>
      </c>
      <c r="H24" s="29">
        <f>SUM(H15:H21)</f>
        <v>13.3</v>
      </c>
      <c r="I24" s="29">
        <f>SUM(I15:I21)</f>
        <v>132118.6</v>
      </c>
      <c r="J24" s="26">
        <f>SUM(J15:J21)</f>
        <v>26882</v>
      </c>
      <c r="K24" s="27">
        <f>SUM(K15:K21)</f>
        <v>54518.68</v>
      </c>
      <c r="L24" s="27">
        <f>SUM(L15:L21)</f>
        <v>57838.32</v>
      </c>
      <c r="M24" s="28">
        <f>SUM(J24:L24)</f>
        <v>139239</v>
      </c>
      <c r="N24" s="29">
        <f>SUM(N15:N21)</f>
        <v>0</v>
      </c>
      <c r="O24" s="29">
        <f>SUM(O15:O21)</f>
        <v>139239</v>
      </c>
      <c r="P24" s="26">
        <f>SUM(P15:P21)</f>
        <v>19050</v>
      </c>
      <c r="Q24" s="27">
        <f>SUM(Q15:Q21)</f>
        <v>37025.9</v>
      </c>
      <c r="R24" s="27">
        <f>SUM(R15:R21)</f>
        <v>30574.33</v>
      </c>
      <c r="S24" s="28">
        <f>SUM(P24:R24)</f>
        <v>86650.23000000001</v>
      </c>
      <c r="T24" s="29">
        <f>SUM(T15:T21)</f>
        <v>24.5</v>
      </c>
      <c r="U24" s="29">
        <f>SUM(U15:U21)</f>
        <v>86674.73</v>
      </c>
      <c r="V24" s="26">
        <f>SUM(V15:V21)</f>
        <v>23303</v>
      </c>
      <c r="W24" s="27">
        <f>SUM(W15:W21)</f>
        <v>56252</v>
      </c>
      <c r="X24" s="27">
        <f>SUM(X15:X21)</f>
        <v>56114</v>
      </c>
      <c r="Y24" s="28">
        <f>SUM(V24:X24)</f>
        <v>135669</v>
      </c>
      <c r="Z24" s="29">
        <f>SUM(Z15:Z21)</f>
        <v>0</v>
      </c>
      <c r="AA24" s="29">
        <f>SUM(AA15:AA21)</f>
        <v>135669</v>
      </c>
      <c r="AB24" s="152">
        <f t="shared" si="8"/>
        <v>0.97436063171956133</v>
      </c>
      <c r="AC24" s="4"/>
      <c r="AD24" s="4"/>
    </row>
    <row r="25" spans="1:30" ht="15.75" customHeight="1" thickBot="1" x14ac:dyDescent="0.3">
      <c r="A25" s="5"/>
      <c r="B25" s="30"/>
      <c r="C25" s="31"/>
      <c r="D25" s="190" t="s">
        <v>68</v>
      </c>
      <c r="E25" s="191"/>
      <c r="F25" s="191"/>
      <c r="G25" s="192"/>
      <c r="H25" s="192"/>
      <c r="I25" s="193"/>
      <c r="J25" s="190" t="s">
        <v>68</v>
      </c>
      <c r="K25" s="191"/>
      <c r="L25" s="191"/>
      <c r="M25" s="192"/>
      <c r="N25" s="192"/>
      <c r="O25" s="193"/>
      <c r="P25" s="190" t="s">
        <v>68</v>
      </c>
      <c r="Q25" s="191"/>
      <c r="R25" s="191"/>
      <c r="S25" s="192"/>
      <c r="T25" s="192"/>
      <c r="U25" s="193"/>
      <c r="V25" s="190" t="s">
        <v>68</v>
      </c>
      <c r="W25" s="191"/>
      <c r="X25" s="191"/>
      <c r="Y25" s="192"/>
      <c r="Z25" s="192"/>
      <c r="AA25" s="193"/>
      <c r="AB25" s="163" t="s">
        <v>105</v>
      </c>
      <c r="AC25" s="4"/>
      <c r="AD25" s="4"/>
    </row>
    <row r="26" spans="1:30" ht="15.75" thickBot="1" x14ac:dyDescent="0.3">
      <c r="A26" s="5"/>
      <c r="B26" s="213" t="s">
        <v>37</v>
      </c>
      <c r="C26" s="208" t="s">
        <v>38</v>
      </c>
      <c r="D26" s="166" t="s">
        <v>69</v>
      </c>
      <c r="E26" s="167"/>
      <c r="F26" s="167"/>
      <c r="G26" s="183" t="s">
        <v>64</v>
      </c>
      <c r="H26" s="185" t="s">
        <v>67</v>
      </c>
      <c r="I26" s="168" t="s">
        <v>68</v>
      </c>
      <c r="J26" s="166" t="s">
        <v>69</v>
      </c>
      <c r="K26" s="167"/>
      <c r="L26" s="167"/>
      <c r="M26" s="183" t="s">
        <v>64</v>
      </c>
      <c r="N26" s="185" t="s">
        <v>67</v>
      </c>
      <c r="O26" s="168" t="s">
        <v>68</v>
      </c>
      <c r="P26" s="166" t="s">
        <v>69</v>
      </c>
      <c r="Q26" s="167"/>
      <c r="R26" s="167"/>
      <c r="S26" s="183" t="s">
        <v>64</v>
      </c>
      <c r="T26" s="185" t="s">
        <v>67</v>
      </c>
      <c r="U26" s="168" t="s">
        <v>68</v>
      </c>
      <c r="V26" s="166" t="s">
        <v>69</v>
      </c>
      <c r="W26" s="167"/>
      <c r="X26" s="167"/>
      <c r="Y26" s="183" t="s">
        <v>64</v>
      </c>
      <c r="Z26" s="185" t="s">
        <v>67</v>
      </c>
      <c r="AA26" s="168" t="s">
        <v>68</v>
      </c>
      <c r="AB26" s="164"/>
      <c r="AC26" s="4"/>
      <c r="AD26" s="4"/>
    </row>
    <row r="27" spans="1:30" ht="15.75" thickBot="1" x14ac:dyDescent="0.3">
      <c r="A27" s="5"/>
      <c r="B27" s="214"/>
      <c r="C27" s="209"/>
      <c r="D27" s="32" t="s">
        <v>54</v>
      </c>
      <c r="E27" s="33" t="s">
        <v>55</v>
      </c>
      <c r="F27" s="34" t="s">
        <v>56</v>
      </c>
      <c r="G27" s="184"/>
      <c r="H27" s="186"/>
      <c r="I27" s="169"/>
      <c r="J27" s="32" t="s">
        <v>54</v>
      </c>
      <c r="K27" s="33" t="s">
        <v>55</v>
      </c>
      <c r="L27" s="34" t="s">
        <v>56</v>
      </c>
      <c r="M27" s="184"/>
      <c r="N27" s="186"/>
      <c r="O27" s="169"/>
      <c r="P27" s="32" t="s">
        <v>54</v>
      </c>
      <c r="Q27" s="33" t="s">
        <v>55</v>
      </c>
      <c r="R27" s="34" t="s">
        <v>56</v>
      </c>
      <c r="S27" s="184"/>
      <c r="T27" s="186"/>
      <c r="U27" s="169"/>
      <c r="V27" s="32" t="s">
        <v>54</v>
      </c>
      <c r="W27" s="33" t="s">
        <v>55</v>
      </c>
      <c r="X27" s="34" t="s">
        <v>56</v>
      </c>
      <c r="Y27" s="184"/>
      <c r="Z27" s="186"/>
      <c r="AA27" s="169"/>
      <c r="AB27" s="165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399</v>
      </c>
      <c r="E28" s="72">
        <v>9</v>
      </c>
      <c r="F28" s="72">
        <v>994.6</v>
      </c>
      <c r="G28" s="73">
        <f>SUM(D28:F28)</f>
        <v>1402.6</v>
      </c>
      <c r="H28" s="73"/>
      <c r="I28" s="37">
        <f>G28+H28</f>
        <v>1402.6</v>
      </c>
      <c r="J28" s="80">
        <v>303</v>
      </c>
      <c r="K28" s="72"/>
      <c r="L28" s="72">
        <v>893</v>
      </c>
      <c r="M28" s="73">
        <f>SUM(J28:L28)</f>
        <v>1196</v>
      </c>
      <c r="N28" s="73"/>
      <c r="O28" s="37">
        <f>M28+N28</f>
        <v>1196</v>
      </c>
      <c r="P28" s="80">
        <v>181</v>
      </c>
      <c r="Q28" s="72"/>
      <c r="R28" s="72">
        <v>147.61000000000001</v>
      </c>
      <c r="S28" s="73">
        <f>SUM(P28:R28)</f>
        <v>328.61</v>
      </c>
      <c r="T28" s="73"/>
      <c r="U28" s="37">
        <f>S28+T28</f>
        <v>328.61</v>
      </c>
      <c r="V28" s="80">
        <f>1244-600</f>
        <v>644</v>
      </c>
      <c r="W28" s="72"/>
      <c r="X28" s="72">
        <v>600</v>
      </c>
      <c r="Y28" s="73">
        <f>SUM(V28:X28)</f>
        <v>1244</v>
      </c>
      <c r="Z28" s="73"/>
      <c r="AA28" s="37">
        <f>Y28+Z28</f>
        <v>1244</v>
      </c>
      <c r="AB28" s="148">
        <f t="shared" ref="AB28:AB41" si="12">(AA28/O28)</f>
        <v>1.040133779264214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4814</v>
      </c>
      <c r="E29" s="74">
        <v>2354.3000000000002</v>
      </c>
      <c r="F29" s="74">
        <v>7902.8</v>
      </c>
      <c r="G29" s="75">
        <f t="shared" ref="G29:G38" si="13">SUM(D29:F29)</f>
        <v>15071.1</v>
      </c>
      <c r="H29" s="76"/>
      <c r="I29" s="14">
        <f t="shared" ref="I29:I38" si="14">G29+H29</f>
        <v>15071.1</v>
      </c>
      <c r="J29" s="81">
        <v>3104</v>
      </c>
      <c r="K29" s="74">
        <v>102</v>
      </c>
      <c r="L29" s="74">
        <v>12310</v>
      </c>
      <c r="M29" s="75">
        <f t="shared" ref="M29:M38" si="15">SUM(J29:L29)</f>
        <v>15516</v>
      </c>
      <c r="N29" s="76"/>
      <c r="O29" s="14">
        <f t="shared" ref="O29:O38" si="16">M29+N29</f>
        <v>15516</v>
      </c>
      <c r="P29" s="81">
        <v>1175</v>
      </c>
      <c r="Q29" s="74">
        <v>130</v>
      </c>
      <c r="R29" s="74">
        <v>5750.6</v>
      </c>
      <c r="S29" s="75">
        <f t="shared" ref="S29:S38" si="17">SUM(P29:R29)</f>
        <v>7055.6</v>
      </c>
      <c r="T29" s="76">
        <v>0.7</v>
      </c>
      <c r="U29" s="14">
        <f t="shared" ref="U29:U38" si="18">S29+T29</f>
        <v>7056.3</v>
      </c>
      <c r="V29" s="81">
        <f>16379-13379</f>
        <v>3000</v>
      </c>
      <c r="W29" s="74"/>
      <c r="X29" s="74">
        <v>13379</v>
      </c>
      <c r="Y29" s="75">
        <f t="shared" ref="Y29:Y38" si="19">SUM(V29:X29)</f>
        <v>16379</v>
      </c>
      <c r="Z29" s="76"/>
      <c r="AA29" s="14">
        <f t="shared" ref="AA29:AA38" si="20">Y29+Z29</f>
        <v>16379</v>
      </c>
      <c r="AB29" s="148">
        <f t="shared" si="12"/>
        <v>1.0556200051559681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1707</v>
      </c>
      <c r="E30" s="77">
        <v>10.4</v>
      </c>
      <c r="F30" s="77">
        <v>6126.9</v>
      </c>
      <c r="G30" s="75">
        <f t="shared" si="13"/>
        <v>7844.2999999999993</v>
      </c>
      <c r="H30" s="75"/>
      <c r="I30" s="14">
        <f t="shared" si="14"/>
        <v>7844.2999999999993</v>
      </c>
      <c r="J30" s="82">
        <v>1271</v>
      </c>
      <c r="K30" s="77"/>
      <c r="L30" s="77">
        <v>6425</v>
      </c>
      <c r="M30" s="75">
        <f t="shared" si="15"/>
        <v>7696</v>
      </c>
      <c r="N30" s="75"/>
      <c r="O30" s="14">
        <f t="shared" si="16"/>
        <v>7696</v>
      </c>
      <c r="P30" s="82">
        <v>319</v>
      </c>
      <c r="Q30" s="77">
        <v>232</v>
      </c>
      <c r="R30" s="77">
        <v>3221.78</v>
      </c>
      <c r="S30" s="75">
        <f t="shared" si="17"/>
        <v>3772.78</v>
      </c>
      <c r="T30" s="75"/>
      <c r="U30" s="14">
        <f t="shared" si="18"/>
        <v>3772.78</v>
      </c>
      <c r="V30" s="82">
        <f>8068-6000</f>
        <v>2068</v>
      </c>
      <c r="W30" s="77"/>
      <c r="X30" s="77">
        <v>6000</v>
      </c>
      <c r="Y30" s="75">
        <f t="shared" si="19"/>
        <v>8068</v>
      </c>
      <c r="Z30" s="75"/>
      <c r="AA30" s="14">
        <f t="shared" si="20"/>
        <v>8068</v>
      </c>
      <c r="AB30" s="148">
        <f t="shared" si="12"/>
        <v>1.0483367983367984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2135</v>
      </c>
      <c r="E31" s="77">
        <v>196.2</v>
      </c>
      <c r="F31" s="77">
        <v>4391.3999999999996</v>
      </c>
      <c r="G31" s="75">
        <f t="shared" si="13"/>
        <v>6722.5999999999995</v>
      </c>
      <c r="H31" s="75"/>
      <c r="I31" s="14">
        <f t="shared" si="14"/>
        <v>6722.5999999999995</v>
      </c>
      <c r="J31" s="82">
        <v>1458</v>
      </c>
      <c r="K31" s="77"/>
      <c r="L31" s="77">
        <v>4504</v>
      </c>
      <c r="M31" s="75">
        <f t="shared" si="15"/>
        <v>5962</v>
      </c>
      <c r="N31" s="75"/>
      <c r="O31" s="14">
        <f t="shared" si="16"/>
        <v>5962</v>
      </c>
      <c r="P31" s="82">
        <v>328</v>
      </c>
      <c r="Q31" s="77">
        <v>290</v>
      </c>
      <c r="R31" s="77">
        <v>2127.59</v>
      </c>
      <c r="S31" s="75">
        <f t="shared" si="17"/>
        <v>2745.59</v>
      </c>
      <c r="T31" s="75"/>
      <c r="U31" s="14">
        <f t="shared" si="18"/>
        <v>2745.59</v>
      </c>
      <c r="V31" s="82">
        <f>6525-4525</f>
        <v>2000</v>
      </c>
      <c r="W31" s="77"/>
      <c r="X31" s="77">
        <v>4525</v>
      </c>
      <c r="Y31" s="75">
        <f t="shared" si="19"/>
        <v>6525</v>
      </c>
      <c r="Z31" s="75"/>
      <c r="AA31" s="14">
        <f t="shared" si="20"/>
        <v>6525</v>
      </c>
      <c r="AB31" s="148">
        <f t="shared" si="12"/>
        <v>1.0944313988594432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7">
        <v>10862</v>
      </c>
      <c r="E32" s="77">
        <v>36938.800000000003</v>
      </c>
      <c r="F32" s="77">
        <v>22951</v>
      </c>
      <c r="G32" s="75">
        <f t="shared" si="13"/>
        <v>70751.8</v>
      </c>
      <c r="H32" s="75"/>
      <c r="I32" s="14">
        <f t="shared" si="14"/>
        <v>70751.8</v>
      </c>
      <c r="J32" s="82">
        <v>14712</v>
      </c>
      <c r="K32" s="77">
        <v>41130</v>
      </c>
      <c r="L32" s="77">
        <v>21343</v>
      </c>
      <c r="M32" s="75">
        <f t="shared" si="15"/>
        <v>77185</v>
      </c>
      <c r="N32" s="75"/>
      <c r="O32" s="14">
        <f t="shared" si="16"/>
        <v>77185</v>
      </c>
      <c r="P32" s="83">
        <v>8792.5</v>
      </c>
      <c r="Q32" s="77">
        <v>20077.099999999999</v>
      </c>
      <c r="R32" s="77">
        <v>11187.91</v>
      </c>
      <c r="S32" s="75">
        <f t="shared" si="17"/>
        <v>40057.509999999995</v>
      </c>
      <c r="T32" s="75">
        <v>45</v>
      </c>
      <c r="U32" s="14">
        <f t="shared" si="18"/>
        <v>40102.509999999995</v>
      </c>
      <c r="V32" s="82">
        <f>69885-39230-22000+549</f>
        <v>9204</v>
      </c>
      <c r="W32" s="77">
        <v>42041</v>
      </c>
      <c r="X32" s="77">
        <v>22000</v>
      </c>
      <c r="Y32" s="75">
        <f t="shared" si="19"/>
        <v>73245</v>
      </c>
      <c r="Z32" s="75"/>
      <c r="AA32" s="14">
        <f t="shared" si="20"/>
        <v>73245</v>
      </c>
      <c r="AB32" s="148">
        <f t="shared" si="12"/>
        <v>0.94895381226922326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7">
        <v>10862</v>
      </c>
      <c r="E33" s="77">
        <v>36938.800000000003</v>
      </c>
      <c r="F33" s="77">
        <v>21106.3</v>
      </c>
      <c r="G33" s="75">
        <f t="shared" si="13"/>
        <v>68907.100000000006</v>
      </c>
      <c r="H33" s="75"/>
      <c r="I33" s="14">
        <f t="shared" si="14"/>
        <v>68907.100000000006</v>
      </c>
      <c r="J33" s="82">
        <v>14712</v>
      </c>
      <c r="K33" s="77">
        <v>41030</v>
      </c>
      <c r="L33" s="77">
        <v>21343</v>
      </c>
      <c r="M33" s="75">
        <f t="shared" si="15"/>
        <v>77085</v>
      </c>
      <c r="N33" s="75"/>
      <c r="O33" s="14">
        <f t="shared" si="16"/>
        <v>77085</v>
      </c>
      <c r="P33" s="83">
        <v>8792.5</v>
      </c>
      <c r="Q33" s="77">
        <v>19424.7</v>
      </c>
      <c r="R33" s="77">
        <v>11197.9</v>
      </c>
      <c r="S33" s="75">
        <f t="shared" si="17"/>
        <v>39415.1</v>
      </c>
      <c r="T33" s="75"/>
      <c r="U33" s="14">
        <f t="shared" si="18"/>
        <v>39415.1</v>
      </c>
      <c r="V33" s="82">
        <v>9154</v>
      </c>
      <c r="W33" s="77">
        <v>42041</v>
      </c>
      <c r="X33" s="77">
        <v>22000</v>
      </c>
      <c r="Y33" s="75">
        <f t="shared" si="19"/>
        <v>73195</v>
      </c>
      <c r="Z33" s="75"/>
      <c r="AA33" s="14">
        <f t="shared" si="20"/>
        <v>73195</v>
      </c>
      <c r="AB33" s="148">
        <f t="shared" si="12"/>
        <v>0.94953622624375689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7">
        <v>0</v>
      </c>
      <c r="E34" s="77"/>
      <c r="F34" s="77">
        <v>144.69999999999999</v>
      </c>
      <c r="G34" s="75">
        <f t="shared" si="13"/>
        <v>144.69999999999999</v>
      </c>
      <c r="H34" s="75"/>
      <c r="I34" s="14">
        <f t="shared" si="14"/>
        <v>144.69999999999999</v>
      </c>
      <c r="J34" s="82"/>
      <c r="K34" s="77">
        <v>100</v>
      </c>
      <c r="L34" s="77"/>
      <c r="M34" s="75">
        <f>SUM(J34:L34)</f>
        <v>100</v>
      </c>
      <c r="N34" s="75"/>
      <c r="O34" s="14">
        <f t="shared" si="16"/>
        <v>100</v>
      </c>
      <c r="P34" s="83" t="s">
        <v>88</v>
      </c>
      <c r="Q34" s="77">
        <v>36.9</v>
      </c>
      <c r="R34" s="77"/>
      <c r="S34" s="75">
        <f t="shared" si="17"/>
        <v>36.9</v>
      </c>
      <c r="T34" s="75"/>
      <c r="U34" s="14">
        <f t="shared" si="18"/>
        <v>36.9</v>
      </c>
      <c r="V34" s="82">
        <v>50</v>
      </c>
      <c r="W34" s="77"/>
      <c r="X34" s="77"/>
      <c r="Y34" s="75">
        <f t="shared" si="19"/>
        <v>50</v>
      </c>
      <c r="Z34" s="75"/>
      <c r="AA34" s="14">
        <f t="shared" si="20"/>
        <v>50</v>
      </c>
      <c r="AB34" s="148">
        <f t="shared" si="12"/>
        <v>0.5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7">
        <v>3330</v>
      </c>
      <c r="E35" s="77">
        <v>11232.9</v>
      </c>
      <c r="F35" s="77">
        <v>8582.1</v>
      </c>
      <c r="G35" s="75">
        <f t="shared" si="13"/>
        <v>23145</v>
      </c>
      <c r="H35" s="75"/>
      <c r="I35" s="14">
        <f t="shared" si="14"/>
        <v>23145</v>
      </c>
      <c r="J35" s="82">
        <v>5001</v>
      </c>
      <c r="K35" s="77">
        <v>13286.68</v>
      </c>
      <c r="L35" s="77">
        <v>7801.32</v>
      </c>
      <c r="M35" s="75">
        <f t="shared" si="15"/>
        <v>26089</v>
      </c>
      <c r="N35" s="75"/>
      <c r="O35" s="14">
        <f t="shared" si="16"/>
        <v>26089</v>
      </c>
      <c r="P35" s="83">
        <v>5214.7</v>
      </c>
      <c r="Q35" s="77">
        <v>2169.1999999999998</v>
      </c>
      <c r="R35" s="77">
        <v>5795.57</v>
      </c>
      <c r="S35" s="75">
        <f t="shared" si="17"/>
        <v>13179.47</v>
      </c>
      <c r="T35" s="75"/>
      <c r="U35" s="14">
        <f t="shared" si="18"/>
        <v>13179.47</v>
      </c>
      <c r="V35" s="82">
        <f>23605-13262-7436+187</f>
        <v>3094</v>
      </c>
      <c r="W35" s="77">
        <v>14211</v>
      </c>
      <c r="X35" s="77">
        <v>7436</v>
      </c>
      <c r="Y35" s="75">
        <f t="shared" si="19"/>
        <v>24741</v>
      </c>
      <c r="Z35" s="75"/>
      <c r="AA35" s="14">
        <f t="shared" si="20"/>
        <v>24741</v>
      </c>
      <c r="AB35" s="148">
        <f t="shared" si="12"/>
        <v>0.94833071409406267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>
        <v>1.7</v>
      </c>
      <c r="G36" s="75">
        <f t="shared" si="13"/>
        <v>1.7</v>
      </c>
      <c r="H36" s="75"/>
      <c r="I36" s="14">
        <f t="shared" si="14"/>
        <v>1.7</v>
      </c>
      <c r="J36" s="82"/>
      <c r="K36" s="77"/>
      <c r="L36" s="77">
        <v>1180</v>
      </c>
      <c r="M36" s="75">
        <f t="shared" si="15"/>
        <v>1180</v>
      </c>
      <c r="N36" s="75"/>
      <c r="O36" s="14">
        <f t="shared" si="16"/>
        <v>1180</v>
      </c>
      <c r="P36" s="82"/>
      <c r="Q36" s="77"/>
      <c r="R36" s="77">
        <v>0.6</v>
      </c>
      <c r="S36" s="75">
        <f t="shared" si="17"/>
        <v>0.6</v>
      </c>
      <c r="T36" s="75"/>
      <c r="U36" s="14">
        <f t="shared" si="18"/>
        <v>0.6</v>
      </c>
      <c r="V36" s="82">
        <v>0</v>
      </c>
      <c r="W36" s="77"/>
      <c r="X36" s="77"/>
      <c r="Y36" s="75">
        <f t="shared" si="19"/>
        <v>0</v>
      </c>
      <c r="Z36" s="75"/>
      <c r="AA36" s="14">
        <f t="shared" si="20"/>
        <v>0</v>
      </c>
      <c r="AB36" s="148">
        <f t="shared" si="12"/>
        <v>0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762</v>
      </c>
      <c r="E37" s="77"/>
      <c r="F37" s="77">
        <v>606.70000000000005</v>
      </c>
      <c r="G37" s="75">
        <f t="shared" si="13"/>
        <v>1368.7</v>
      </c>
      <c r="H37" s="75"/>
      <c r="I37" s="14">
        <f t="shared" si="14"/>
        <v>1368.7</v>
      </c>
      <c r="J37" s="82">
        <v>205</v>
      </c>
      <c r="K37" s="77"/>
      <c r="L37" s="77">
        <v>3382</v>
      </c>
      <c r="M37" s="75">
        <f t="shared" si="15"/>
        <v>3587</v>
      </c>
      <c r="N37" s="75"/>
      <c r="O37" s="14">
        <f t="shared" si="16"/>
        <v>3587</v>
      </c>
      <c r="P37" s="82">
        <v>142</v>
      </c>
      <c r="Q37" s="77"/>
      <c r="R37" s="77">
        <v>552.42999999999995</v>
      </c>
      <c r="S37" s="75">
        <f t="shared" si="17"/>
        <v>694.43</v>
      </c>
      <c r="T37" s="75"/>
      <c r="U37" s="14">
        <f t="shared" si="18"/>
        <v>694.43</v>
      </c>
      <c r="V37" s="82">
        <f>1147-750</f>
        <v>397</v>
      </c>
      <c r="W37" s="77"/>
      <c r="X37" s="77">
        <v>750</v>
      </c>
      <c r="Y37" s="75">
        <f t="shared" si="19"/>
        <v>1147</v>
      </c>
      <c r="Z37" s="75"/>
      <c r="AA37" s="14">
        <f t="shared" si="20"/>
        <v>1147</v>
      </c>
      <c r="AB37" s="148">
        <f t="shared" si="12"/>
        <v>0.31976582102035128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8">
        <v>1841.9</v>
      </c>
      <c r="E38" s="78">
        <v>679</v>
      </c>
      <c r="F38" s="78">
        <v>3276.6</v>
      </c>
      <c r="G38" s="75">
        <f t="shared" si="13"/>
        <v>5797.5</v>
      </c>
      <c r="H38" s="79"/>
      <c r="I38" s="23">
        <f t="shared" si="14"/>
        <v>5797.5</v>
      </c>
      <c r="J38" s="84">
        <v>828</v>
      </c>
      <c r="K38" s="78"/>
      <c r="L38" s="78"/>
      <c r="M38" s="79">
        <f t="shared" si="15"/>
        <v>828</v>
      </c>
      <c r="N38" s="79"/>
      <c r="O38" s="23">
        <f t="shared" si="16"/>
        <v>828</v>
      </c>
      <c r="P38" s="84">
        <v>1029</v>
      </c>
      <c r="Q38" s="78">
        <v>990</v>
      </c>
      <c r="R38" s="78">
        <v>800.24</v>
      </c>
      <c r="S38" s="79">
        <f t="shared" si="17"/>
        <v>2819.24</v>
      </c>
      <c r="T38" s="79"/>
      <c r="U38" s="23">
        <f t="shared" si="18"/>
        <v>2819.24</v>
      </c>
      <c r="V38" s="84">
        <f>4253-1424+67</f>
        <v>2896</v>
      </c>
      <c r="W38" s="78"/>
      <c r="X38" s="78">
        <v>1424</v>
      </c>
      <c r="Y38" s="79">
        <f t="shared" si="19"/>
        <v>4320</v>
      </c>
      <c r="Z38" s="79"/>
      <c r="AA38" s="23">
        <f t="shared" si="20"/>
        <v>4320</v>
      </c>
      <c r="AB38" s="151">
        <f t="shared" si="12"/>
        <v>5.2173913043478262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25850.9</v>
      </c>
      <c r="E39" s="42">
        <f>SUM(E35:E38)+SUM(E28:E32)</f>
        <v>51420.600000000006</v>
      </c>
      <c r="F39" s="42">
        <f>SUM(F35:F38)+SUM(F28:F32)</f>
        <v>54833.8</v>
      </c>
      <c r="G39" s="147">
        <f>SUM(D39:F39)</f>
        <v>132105.29999999999</v>
      </c>
      <c r="H39" s="43">
        <f>SUM(H28:H32)+SUM(H35:H38)</f>
        <v>0</v>
      </c>
      <c r="I39" s="44">
        <f>SUM(I35:I38)+SUM(I28:I32)</f>
        <v>132105.29999999999</v>
      </c>
      <c r="J39" s="42">
        <f>SUM(J35:J38)+SUM(J28:J32)</f>
        <v>26882</v>
      </c>
      <c r="K39" s="42">
        <f>SUM(K35:K38)+SUM(K28:K32)</f>
        <v>54518.68</v>
      </c>
      <c r="L39" s="42">
        <f>SUM(L35:L38)+SUM(L28:L32)</f>
        <v>57838.32</v>
      </c>
      <c r="M39" s="147">
        <f>SUM(J39:L39)</f>
        <v>139239</v>
      </c>
      <c r="N39" s="43">
        <f>SUM(N28:N32)+SUM(N35:N38)</f>
        <v>0</v>
      </c>
      <c r="O39" s="44">
        <f>SUM(O35:O38)+SUM(O28:O32)</f>
        <v>139239</v>
      </c>
      <c r="P39" s="42">
        <f>SUM(P35:P38)+SUM(P28:P32)</f>
        <v>17181.2</v>
      </c>
      <c r="Q39" s="42">
        <f>SUM(Q35:Q38)+SUM(Q28:Q32)</f>
        <v>23888.3</v>
      </c>
      <c r="R39" s="42">
        <f>SUM(R35:R38)+SUM(R28:R32)</f>
        <v>29584.329999999998</v>
      </c>
      <c r="S39" s="147">
        <f>SUM(P39:R39)</f>
        <v>70653.83</v>
      </c>
      <c r="T39" s="43">
        <f>SUM(T28:T32)+SUM(T35:T38)</f>
        <v>45.7</v>
      </c>
      <c r="U39" s="44">
        <f>SUM(U35:U38)+SUM(U28:U32)</f>
        <v>70699.53</v>
      </c>
      <c r="V39" s="42">
        <f>SUM(V35:V38)+SUM(V28:V32)</f>
        <v>23303</v>
      </c>
      <c r="W39" s="42">
        <f>SUM(W35:W38)+SUM(W28:W32)</f>
        <v>56252</v>
      </c>
      <c r="X39" s="42">
        <f>SUM(X35:X38)+SUM(X28:X32)</f>
        <v>56114</v>
      </c>
      <c r="Y39" s="147">
        <f>SUM(V39:X39)</f>
        <v>135669</v>
      </c>
      <c r="Z39" s="43">
        <f>SUM(Z28:Z32)+SUM(Z35:Z38)</f>
        <v>0</v>
      </c>
      <c r="AA39" s="44">
        <f>SUM(AA35:AA38)+SUM(AA28:AA32)</f>
        <v>135669</v>
      </c>
      <c r="AB39" s="153">
        <f t="shared" si="12"/>
        <v>0.97436063171956133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0</v>
      </c>
      <c r="E40" s="110">
        <f t="shared" si="21"/>
        <v>-130.40000000000873</v>
      </c>
      <c r="F40" s="110">
        <f t="shared" si="21"/>
        <v>130.40000000000146</v>
      </c>
      <c r="G40" s="119">
        <f t="shared" si="21"/>
        <v>0</v>
      </c>
      <c r="H40" s="119">
        <f t="shared" si="21"/>
        <v>13.3</v>
      </c>
      <c r="I40" s="120">
        <f t="shared" si="21"/>
        <v>13.300000000017462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19">
        <f t="shared" si="21"/>
        <v>0</v>
      </c>
      <c r="N40" s="119">
        <f t="shared" si="21"/>
        <v>0</v>
      </c>
      <c r="O40" s="120">
        <f t="shared" si="21"/>
        <v>0</v>
      </c>
      <c r="P40" s="110">
        <f t="shared" ref="P40:U40" si="22">P24-P39</f>
        <v>1868.7999999999993</v>
      </c>
      <c r="Q40" s="110">
        <f t="shared" si="22"/>
        <v>13137.600000000002</v>
      </c>
      <c r="R40" s="110">
        <f>R24-R39</f>
        <v>990.00000000000364</v>
      </c>
      <c r="S40" s="119">
        <f t="shared" si="22"/>
        <v>15996.400000000009</v>
      </c>
      <c r="T40" s="119">
        <f t="shared" si="22"/>
        <v>-21.200000000000003</v>
      </c>
      <c r="U40" s="120">
        <f t="shared" si="22"/>
        <v>15975.199999999997</v>
      </c>
      <c r="V40" s="110">
        <f t="shared" ref="V40:AA40" si="23">V24-V39</f>
        <v>0</v>
      </c>
      <c r="W40" s="110">
        <f t="shared" si="23"/>
        <v>0</v>
      </c>
      <c r="X40" s="110">
        <f t="shared" si="23"/>
        <v>0</v>
      </c>
      <c r="Y40" s="119">
        <f t="shared" si="23"/>
        <v>0</v>
      </c>
      <c r="Z40" s="119">
        <f t="shared" si="23"/>
        <v>0</v>
      </c>
      <c r="AA40" s="120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-25837.599999999984</v>
      </c>
      <c r="J41" s="113"/>
      <c r="K41" s="114"/>
      <c r="L41" s="114"/>
      <c r="M41" s="115"/>
      <c r="N41" s="118"/>
      <c r="O41" s="117">
        <f>O40-J16</f>
        <v>-26882</v>
      </c>
      <c r="P41" s="113"/>
      <c r="Q41" s="114"/>
      <c r="R41" s="114"/>
      <c r="S41" s="115"/>
      <c r="T41" s="118"/>
      <c r="U41" s="117">
        <f>U40-P16</f>
        <v>-3074.8000000000029</v>
      </c>
      <c r="V41" s="113"/>
      <c r="W41" s="114"/>
      <c r="X41" s="114"/>
      <c r="Y41" s="115"/>
      <c r="Z41" s="118"/>
      <c r="AA41" s="117">
        <f>AA40-V16</f>
        <v>-23303</v>
      </c>
      <c r="AB41" s="148">
        <f t="shared" si="12"/>
        <v>0.8668625846291198</v>
      </c>
      <c r="AC41" s="4"/>
      <c r="AD41" s="4"/>
    </row>
    <row r="42" spans="1:30" s="123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05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1"/>
      <c r="T43" s="91"/>
      <c r="U43" s="91"/>
      <c r="V43" s="107" t="s">
        <v>41</v>
      </c>
      <c r="W43" s="45" t="s">
        <v>84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06"/>
      <c r="D44" s="95"/>
      <c r="E44" s="105"/>
      <c r="F44" s="106">
        <v>0</v>
      </c>
      <c r="G44" s="49"/>
      <c r="H44" s="49"/>
      <c r="I44" s="50"/>
      <c r="J44" s="95"/>
      <c r="K44" s="105"/>
      <c r="L44" s="106">
        <v>0</v>
      </c>
      <c r="M44" s="94"/>
      <c r="N44" s="94"/>
      <c r="O44" s="94"/>
      <c r="P44" s="95"/>
      <c r="Q44" s="105"/>
      <c r="R44" s="106">
        <v>0</v>
      </c>
      <c r="S44" s="4"/>
      <c r="T44" s="4"/>
      <c r="U44" s="4"/>
      <c r="V44" s="95"/>
      <c r="W44" s="105"/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05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9"/>
      <c r="M46" s="149"/>
      <c r="N46" s="91"/>
      <c r="O46" s="91"/>
      <c r="P46" s="96" t="s">
        <v>87</v>
      </c>
      <c r="Q46" s="97" t="s">
        <v>85</v>
      </c>
      <c r="R46" s="91"/>
      <c r="S46" s="91"/>
      <c r="T46" s="91"/>
      <c r="U46" s="91"/>
      <c r="V46" s="96" t="s">
        <v>87</v>
      </c>
      <c r="W46" s="97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207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50"/>
      <c r="M47" s="150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92</v>
      </c>
      <c r="G49" s="100" t="s">
        <v>94</v>
      </c>
      <c r="H49" s="49"/>
      <c r="I49" s="4"/>
      <c r="J49" s="100" t="s">
        <v>73</v>
      </c>
      <c r="K49" s="100" t="s">
        <v>74</v>
      </c>
      <c r="L49" s="100" t="s">
        <v>92</v>
      </c>
      <c r="M49" s="100" t="s">
        <v>95</v>
      </c>
      <c r="N49" s="4"/>
      <c r="O49" s="4"/>
      <c r="P49" s="100" t="s">
        <v>73</v>
      </c>
      <c r="Q49" s="100" t="s">
        <v>74</v>
      </c>
      <c r="R49" s="100" t="s">
        <v>92</v>
      </c>
      <c r="S49" s="100" t="s">
        <v>110</v>
      </c>
      <c r="T49" s="4"/>
      <c r="U49" s="4"/>
      <c r="V49" s="100" t="s">
        <v>96</v>
      </c>
      <c r="W49" s="100" t="s">
        <v>74</v>
      </c>
      <c r="X49" s="100" t="s">
        <v>92</v>
      </c>
      <c r="Y49" s="100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5"/>
      <c r="E50" s="85"/>
      <c r="F50" s="85"/>
      <c r="G50" s="52">
        <f>D50+E50-F50</f>
        <v>0</v>
      </c>
      <c r="H50" s="49"/>
      <c r="I50" s="4"/>
      <c r="J50" s="85"/>
      <c r="K50" s="85"/>
      <c r="L50" s="85"/>
      <c r="M50" s="52">
        <f>J50+K50-L50</f>
        <v>0</v>
      </c>
      <c r="N50" s="4"/>
      <c r="O50" s="4"/>
      <c r="P50" s="85"/>
      <c r="Q50" s="85"/>
      <c r="R50" s="85"/>
      <c r="S50" s="52">
        <f>P50+Q50-R50</f>
        <v>0</v>
      </c>
      <c r="T50" s="4"/>
      <c r="U50" s="4"/>
      <c r="V50" s="85"/>
      <c r="W50" s="85"/>
      <c r="X50" s="85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5">
        <v>5226.3</v>
      </c>
      <c r="E51" s="85">
        <v>3557</v>
      </c>
      <c r="F51" s="85">
        <v>5346.8</v>
      </c>
      <c r="G51" s="52">
        <f t="shared" ref="G51:G54" si="24">D51+E51-F51</f>
        <v>3436.4999999999991</v>
      </c>
      <c r="H51" s="49"/>
      <c r="I51" s="4"/>
      <c r="J51" s="85">
        <v>221.9</v>
      </c>
      <c r="K51" s="85">
        <v>90</v>
      </c>
      <c r="L51" s="85">
        <v>0</v>
      </c>
      <c r="M51" s="52">
        <f t="shared" ref="M51:M54" si="25">J51+K51-L51</f>
        <v>311.89999999999998</v>
      </c>
      <c r="N51" s="4"/>
      <c r="O51" s="4"/>
      <c r="P51" s="85">
        <v>3436.4</v>
      </c>
      <c r="Q51" s="85">
        <v>13.9</v>
      </c>
      <c r="R51" s="85">
        <v>3348.4</v>
      </c>
      <c r="S51" s="52">
        <f t="shared" ref="S51:S54" si="26">P51+Q51-R51</f>
        <v>101.90000000000009</v>
      </c>
      <c r="T51" s="4"/>
      <c r="U51" s="4"/>
      <c r="V51" s="85">
        <v>101.9</v>
      </c>
      <c r="W51" s="85">
        <v>0</v>
      </c>
      <c r="X51" s="85">
        <v>0</v>
      </c>
      <c r="Y51" s="52">
        <f t="shared" ref="Y51:Y54" si="27">V51+W51-X51</f>
        <v>101.9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5">
        <v>145.4</v>
      </c>
      <c r="E52" s="85">
        <v>1890.4</v>
      </c>
      <c r="F52" s="85">
        <v>1276.5</v>
      </c>
      <c r="G52" s="52">
        <f t="shared" si="24"/>
        <v>759.30000000000018</v>
      </c>
      <c r="H52" s="49"/>
      <c r="I52" s="4"/>
      <c r="J52" s="85">
        <v>822.8</v>
      </c>
      <c r="K52" s="85">
        <v>1385</v>
      </c>
      <c r="L52" s="85">
        <v>1382</v>
      </c>
      <c r="M52" s="52">
        <f t="shared" si="25"/>
        <v>825.80000000000018</v>
      </c>
      <c r="N52" s="4"/>
      <c r="O52" s="4"/>
      <c r="P52" s="85">
        <v>759.3</v>
      </c>
      <c r="Q52" s="85">
        <v>660.1</v>
      </c>
      <c r="R52" s="85">
        <v>145.19999999999999</v>
      </c>
      <c r="S52" s="52">
        <f t="shared" si="26"/>
        <v>1274.2</v>
      </c>
      <c r="T52" s="4"/>
      <c r="U52" s="4"/>
      <c r="V52" s="85">
        <v>825.8</v>
      </c>
      <c r="W52" s="85">
        <v>1147</v>
      </c>
      <c r="X52" s="85">
        <v>450</v>
      </c>
      <c r="Y52" s="52">
        <f t="shared" si="27"/>
        <v>1522.8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5">
        <v>109.6</v>
      </c>
      <c r="E53" s="85">
        <v>0</v>
      </c>
      <c r="F53" s="85">
        <v>0</v>
      </c>
      <c r="G53" s="52">
        <f t="shared" si="24"/>
        <v>109.6</v>
      </c>
      <c r="H53" s="49"/>
      <c r="I53" s="4"/>
      <c r="J53" s="85">
        <v>109.6</v>
      </c>
      <c r="K53" s="85">
        <v>0</v>
      </c>
      <c r="L53" s="85">
        <v>0</v>
      </c>
      <c r="M53" s="52">
        <f t="shared" si="25"/>
        <v>109.6</v>
      </c>
      <c r="N53" s="4"/>
      <c r="O53" s="4"/>
      <c r="P53" s="85">
        <v>109.6</v>
      </c>
      <c r="Q53" s="85">
        <v>0</v>
      </c>
      <c r="R53" s="85">
        <v>0</v>
      </c>
      <c r="S53" s="52">
        <f t="shared" si="26"/>
        <v>109.6</v>
      </c>
      <c r="T53" s="4"/>
      <c r="U53" s="4"/>
      <c r="V53" s="85">
        <v>109.6</v>
      </c>
      <c r="W53" s="85">
        <v>0</v>
      </c>
      <c r="X53" s="85">
        <v>0</v>
      </c>
      <c r="Y53" s="52">
        <f t="shared" si="27"/>
        <v>109.6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90</v>
      </c>
      <c r="D54" s="85">
        <v>399.7</v>
      </c>
      <c r="E54" s="85">
        <v>1378.1</v>
      </c>
      <c r="F54" s="85">
        <v>1272.3</v>
      </c>
      <c r="G54" s="52">
        <f t="shared" si="24"/>
        <v>505.5</v>
      </c>
      <c r="H54" s="49"/>
      <c r="I54" s="4"/>
      <c r="J54" s="85">
        <v>510.2</v>
      </c>
      <c r="K54" s="85">
        <v>1184</v>
      </c>
      <c r="L54" s="85">
        <v>1300</v>
      </c>
      <c r="M54" s="52">
        <f t="shared" si="25"/>
        <v>394.20000000000005</v>
      </c>
      <c r="N54" s="4"/>
      <c r="O54" s="4"/>
      <c r="P54" s="85">
        <v>505.5</v>
      </c>
      <c r="Q54" s="85">
        <v>783.3</v>
      </c>
      <c r="R54" s="85">
        <v>462.1</v>
      </c>
      <c r="S54" s="52">
        <f t="shared" si="26"/>
        <v>826.69999999999993</v>
      </c>
      <c r="T54" s="4"/>
      <c r="U54" s="4"/>
      <c r="V54" s="85">
        <v>394.2</v>
      </c>
      <c r="W54" s="85">
        <f>67+1392</f>
        <v>1459</v>
      </c>
      <c r="X54" s="85">
        <v>1300</v>
      </c>
      <c r="Y54" s="52">
        <f t="shared" si="27"/>
        <v>553.20000000000005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97</v>
      </c>
      <c r="F56" s="49"/>
      <c r="G56" s="49"/>
      <c r="H56" s="49"/>
      <c r="I56" s="50"/>
      <c r="J56" s="100" t="s">
        <v>98</v>
      </c>
      <c r="K56" s="49"/>
      <c r="L56" s="49"/>
      <c r="M56" s="49"/>
      <c r="N56" s="49"/>
      <c r="O56" s="50"/>
      <c r="P56" s="100" t="s">
        <v>99</v>
      </c>
      <c r="Q56" s="50"/>
      <c r="R56" s="50"/>
      <c r="S56" s="50"/>
      <c r="T56" s="50"/>
      <c r="U56" s="50"/>
      <c r="V56" s="100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>
        <v>202</v>
      </c>
      <c r="E57" s="86">
        <v>197.9</v>
      </c>
      <c r="F57" s="49"/>
      <c r="G57" s="49"/>
      <c r="H57" s="49"/>
      <c r="I57" s="50"/>
      <c r="J57" s="86">
        <v>205</v>
      </c>
      <c r="K57" s="49"/>
      <c r="L57" s="49"/>
      <c r="M57" s="49"/>
      <c r="N57" s="49"/>
      <c r="O57" s="50"/>
      <c r="P57" s="86">
        <v>193.7</v>
      </c>
      <c r="Q57" s="50"/>
      <c r="R57" s="50"/>
      <c r="S57" s="50"/>
      <c r="T57" s="50"/>
      <c r="U57" s="50"/>
      <c r="V57" s="86">
        <v>198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93</v>
      </c>
      <c r="C59" s="101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22" t="s">
        <v>111</v>
      </c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202" t="s">
        <v>112</v>
      </c>
      <c r="C61" s="198"/>
      <c r="D61" s="198"/>
      <c r="E61" s="198"/>
      <c r="F61" s="198"/>
      <c r="G61" s="198"/>
      <c r="H61" s="198"/>
      <c r="I61" s="198"/>
      <c r="J61" s="198"/>
      <c r="K61" s="198"/>
      <c r="L61" s="198"/>
      <c r="M61" s="198"/>
      <c r="N61" s="198"/>
      <c r="O61" s="198"/>
      <c r="P61" s="198"/>
      <c r="Q61" s="198"/>
      <c r="R61" s="198"/>
      <c r="S61" s="198"/>
      <c r="T61" s="198"/>
      <c r="U61" s="198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200" t="s">
        <v>113</v>
      </c>
      <c r="C62" s="201"/>
      <c r="D62" s="201"/>
      <c r="E62" s="201"/>
      <c r="F62" s="201"/>
      <c r="G62" s="201"/>
      <c r="H62" s="201"/>
      <c r="I62" s="201"/>
      <c r="J62" s="201"/>
      <c r="K62" s="201"/>
      <c r="L62" s="201"/>
      <c r="M62" s="201"/>
      <c r="N62" s="201"/>
      <c r="O62" s="201"/>
      <c r="P62" s="201"/>
      <c r="Q62" s="201"/>
      <c r="R62" s="201"/>
      <c r="S62" s="201"/>
      <c r="T62" s="201"/>
      <c r="U62" s="201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200" t="s">
        <v>114</v>
      </c>
      <c r="C63" s="201"/>
      <c r="D63" s="201"/>
      <c r="E63" s="201"/>
      <c r="F63" s="201"/>
      <c r="G63" s="201"/>
      <c r="H63" s="201"/>
      <c r="I63" s="201"/>
      <c r="J63" s="201"/>
      <c r="K63" s="201"/>
      <c r="L63" s="201"/>
      <c r="M63" s="201"/>
      <c r="N63" s="201"/>
      <c r="O63" s="201"/>
      <c r="P63" s="201"/>
      <c r="Q63" s="201"/>
      <c r="R63" s="201"/>
      <c r="S63" s="201"/>
      <c r="T63" s="201"/>
      <c r="U63" s="201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1" t="s">
        <v>115</v>
      </c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62"/>
      <c r="T64" s="162"/>
      <c r="U64" s="162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 t="s">
        <v>116</v>
      </c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1" t="s">
        <v>117</v>
      </c>
      <c r="C66" s="162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1" t="s">
        <v>118</v>
      </c>
      <c r="C67" s="162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 t="s">
        <v>119</v>
      </c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1" t="s">
        <v>120</v>
      </c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202"/>
      <c r="C82" s="198"/>
      <c r="D82" s="198"/>
      <c r="E82" s="198"/>
      <c r="F82" s="198"/>
      <c r="G82" s="198"/>
      <c r="H82" s="198"/>
      <c r="I82" s="198"/>
      <c r="J82" s="198"/>
      <c r="K82" s="198"/>
      <c r="L82" s="198"/>
      <c r="M82" s="198"/>
      <c r="N82" s="198"/>
      <c r="O82" s="198"/>
      <c r="P82" s="198"/>
      <c r="Q82" s="198"/>
      <c r="R82" s="198"/>
      <c r="S82" s="198"/>
      <c r="T82" s="198"/>
      <c r="U82" s="198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2"/>
      <c r="D83" s="92"/>
      <c r="E83" s="9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8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1">
        <v>44469</v>
      </c>
      <c r="D91" s="53" t="s">
        <v>77</v>
      </c>
      <c r="E91" s="198" t="s">
        <v>109</v>
      </c>
      <c r="F91" s="198"/>
      <c r="G91" s="198"/>
      <c r="H91" s="53"/>
      <c r="I91" s="53" t="s">
        <v>78</v>
      </c>
      <c r="J91" s="199" t="s">
        <v>108</v>
      </c>
      <c r="K91" s="199"/>
      <c r="L91" s="199"/>
      <c r="M91" s="199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2021-08-18T08:38:27Z</cp:lastPrinted>
  <dcterms:created xsi:type="dcterms:W3CDTF">2017-02-23T12:10:09Z</dcterms:created>
  <dcterms:modified xsi:type="dcterms:W3CDTF">2021-10-27T13:28:10Z</dcterms:modified>
</cp:coreProperties>
</file>